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793" activeTab="0"/>
  </bookViews>
  <sheets>
    <sheet name="INICIO" sheetId="1" r:id="rId1"/>
    <sheet name="SEL BOMBA MANUAL" sheetId="2" r:id="rId2"/>
    <sheet name="SEL HANDPUMP" sheetId="3" r:id="rId3"/>
    <sheet name="SEL ELECTROBOMBA" sheetId="4" r:id="rId4"/>
    <sheet name="SEL POWERPACK" sheetId="5" r:id="rId5"/>
  </sheets>
  <definedNames>
    <definedName name="Voltaje__v">'SEL ELECTROBOMBA'!$B$9</definedName>
  </definedNames>
  <calcPr fullCalcOnLoad="1"/>
</workbook>
</file>

<file path=xl/sharedStrings.xml><?xml version="1.0" encoding="utf-8"?>
<sst xmlns="http://schemas.openxmlformats.org/spreadsheetml/2006/main" count="232" uniqueCount="106">
  <si>
    <t>W00307</t>
  </si>
  <si>
    <t>1 1</t>
  </si>
  <si>
    <t>3 3</t>
  </si>
  <si>
    <t>5 5</t>
  </si>
  <si>
    <t>Single or double acting   ( S / D )</t>
  </si>
  <si>
    <t>Load holding needed (Y/N)</t>
  </si>
  <si>
    <t>Number of cylinders</t>
  </si>
  <si>
    <t>Cylinder capacity (Tm)</t>
  </si>
  <si>
    <t>Cylinder stroke (mm)</t>
  </si>
  <si>
    <t>Single or three phase (1/3)</t>
  </si>
  <si>
    <t>Voltage (v)</t>
  </si>
  <si>
    <t>Frequency (Hz)</t>
  </si>
  <si>
    <t>Heat exchanger (Y/N)</t>
  </si>
  <si>
    <t>Castor kit (Y/N)</t>
  </si>
  <si>
    <t>Roll bar (Y/N)</t>
  </si>
  <si>
    <r>
      <t>Vol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</si>
  <si>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Suggested powerpack</t>
  </si>
  <si>
    <t>Simple o doble efecto   ( S / D )</t>
  </si>
  <si>
    <t>Número de cilindros</t>
  </si>
  <si>
    <t>Carrera del cilindro (mm)</t>
  </si>
  <si>
    <t>Retención de carga (S/N)</t>
  </si>
  <si>
    <t>Monofásico o trifásico (1/3)</t>
  </si>
  <si>
    <t>Voltaje (v)</t>
  </si>
  <si>
    <t>Frecuencia (Hz)</t>
  </si>
  <si>
    <t>Cuadro protector (S/N)</t>
  </si>
  <si>
    <t>Ruedas (S/N)</t>
  </si>
  <si>
    <t>Enfriador (S/N)</t>
  </si>
  <si>
    <t>Electrobomba recomendada</t>
  </si>
  <si>
    <t>8 6</t>
  </si>
  <si>
    <t>***</t>
  </si>
  <si>
    <t>paq/dep</t>
  </si>
  <si>
    <t>vmin</t>
  </si>
  <si>
    <t>vmax</t>
  </si>
  <si>
    <t>Q700</t>
  </si>
  <si>
    <t>Qbp</t>
  </si>
  <si>
    <t>Tiempo de llenado a 700 bar (seg)</t>
  </si>
  <si>
    <t>Tiempo llenado baja presión (seg)</t>
  </si>
  <si>
    <t>minutos</t>
  </si>
  <si>
    <t>Filling time at 700 bar (sec)</t>
  </si>
  <si>
    <t>Filling time low pressure (sec)</t>
  </si>
  <si>
    <t>minutes</t>
  </si>
  <si>
    <t>LARZEP</t>
  </si>
  <si>
    <t>HYDRAULIC</t>
  </si>
  <si>
    <t>Fill in 2nd option</t>
  </si>
  <si>
    <t>X07807</t>
  </si>
  <si>
    <t>W07807</t>
  </si>
  <si>
    <t>9 7</t>
  </si>
  <si>
    <t>Remote pendant for HM (Y/N)</t>
  </si>
  <si>
    <t>Mando Remoto para HM (S/N)</t>
  </si>
  <si>
    <t>Válvula Manual o Eléctrica (M/E)</t>
  </si>
  <si>
    <t>Manual or Electric Valve (M/E)</t>
  </si>
  <si>
    <t>Nº de emboladas a baja presión</t>
  </si>
  <si>
    <t>Nº de emboladas a 700  bar</t>
  </si>
  <si>
    <t>baja presión cc</t>
  </si>
  <si>
    <t>alta presión cc</t>
  </si>
  <si>
    <t>Nr. of strokes at 700 bar</t>
  </si>
  <si>
    <t>Nr. of strokes at low pressure</t>
  </si>
  <si>
    <t>Z12107</t>
  </si>
  <si>
    <t>Z24007</t>
  </si>
  <si>
    <t>Z22107</t>
  </si>
  <si>
    <t>Z14007</t>
  </si>
  <si>
    <t>Suggested Handpump</t>
  </si>
  <si>
    <t>Bomba manual recomendada</t>
  </si>
  <si>
    <t xml:space="preserve">Para seleccionar la bomba rellene únicamente las celdas amarillas </t>
  </si>
  <si>
    <t>To select the right pump fill in only the yellow cells</t>
  </si>
  <si>
    <t>W10707</t>
  </si>
  <si>
    <t>W11207</t>
  </si>
  <si>
    <t>W22307</t>
  </si>
  <si>
    <t>W24307</t>
  </si>
  <si>
    <t>X22307</t>
  </si>
  <si>
    <t>X24307</t>
  </si>
  <si>
    <t>Z17007</t>
  </si>
  <si>
    <t>Z27007</t>
  </si>
  <si>
    <t>W20707</t>
  </si>
  <si>
    <t>W21207</t>
  </si>
  <si>
    <t>Z19107</t>
  </si>
  <si>
    <t>Z19207</t>
  </si>
  <si>
    <t>Z29107</t>
  </si>
  <si>
    <t>Z29207</t>
  </si>
  <si>
    <t>POWERPACK</t>
  </si>
  <si>
    <t>GRUPO ELEC.</t>
  </si>
  <si>
    <t>Rellenar sólo las celdas amarillas</t>
  </si>
  <si>
    <t>Fill in only yellow cells</t>
  </si>
  <si>
    <t>Capacidad de cada cilindro (ton)</t>
  </si>
  <si>
    <t>Longitud total de manguera (m)</t>
  </si>
  <si>
    <t>Bomba hidroneumática recomendada</t>
  </si>
  <si>
    <t>Cylinder capacity (ton)</t>
  </si>
  <si>
    <t>Total hose length (m)</t>
  </si>
  <si>
    <t>HA</t>
  </si>
  <si>
    <t>2 1</t>
  </si>
  <si>
    <t>7 3</t>
  </si>
  <si>
    <t>2 2</t>
  </si>
  <si>
    <t>4 3</t>
  </si>
  <si>
    <t>9 6</t>
  </si>
  <si>
    <t>You can try a quicker 2nd option</t>
  </si>
  <si>
    <t>Rellenar sólo las celdas amarillas.</t>
  </si>
  <si>
    <t>Pruebe una 2ª opción más veloz</t>
  </si>
  <si>
    <t>4 4</t>
  </si>
  <si>
    <t>7 2</t>
  </si>
  <si>
    <t>7 4</t>
  </si>
  <si>
    <t>8 5</t>
  </si>
  <si>
    <t>HZ PUMP</t>
  </si>
  <si>
    <t>GRUPO HZ</t>
  </si>
  <si>
    <t>Suggested air hydraulic pump</t>
  </si>
  <si>
    <t>The second number must be at least as high as the one suggested</t>
  </si>
  <si>
    <t>El segundo dígito debe ser igual o mayor que el recomendado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</si>
</sst>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24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36"/>
      <color indexed="9"/>
      <name val="Arial"/>
      <family val="2"/>
    </font>
    <font>
      <sz val="12"/>
      <color indexed="9"/>
      <name val="Arial"/>
      <family val="2"/>
    </font>
    <font>
      <b/>
      <sz val="48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Alignment="1">
      <alignment/>
    </xf>
    <xf numFmtId="3" fontId="0" fillId="33" borderId="10" xfId="0" applyNumberForma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 horizontal="right"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165" fontId="0" fillId="33" borderId="0" xfId="0" applyNumberFormat="1" applyFill="1" applyBorder="1" applyAlignment="1" applyProtection="1">
      <alignment/>
      <protection locked="0"/>
    </xf>
    <xf numFmtId="165" fontId="0" fillId="33" borderId="13" xfId="0" applyNumberFormat="1" applyFill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34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3" fontId="0" fillId="0" borderId="0" xfId="0" applyNumberForma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/>
      <protection/>
    </xf>
    <xf numFmtId="3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1" fillId="34" borderId="0" xfId="0" applyFont="1" applyFill="1" applyAlignment="1">
      <alignment horizontal="center"/>
    </xf>
    <xf numFmtId="3" fontId="0" fillId="0" borderId="11" xfId="0" applyNumberFormat="1" applyFill="1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3" fontId="0" fillId="36" borderId="15" xfId="0" applyNumberFormat="1" applyFont="1" applyFill="1" applyBorder="1" applyAlignment="1" applyProtection="1">
      <alignment/>
      <protection/>
    </xf>
    <xf numFmtId="3" fontId="2" fillId="36" borderId="16" xfId="0" applyNumberFormat="1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4" fontId="0" fillId="0" borderId="20" xfId="0" applyNumberFormat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64" fontId="0" fillId="0" borderId="20" xfId="0" applyNumberForma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164" fontId="0" fillId="0" borderId="22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3" fontId="1" fillId="36" borderId="24" xfId="0" applyNumberFormat="1" applyFont="1" applyFill="1" applyBorder="1" applyAlignment="1" applyProtection="1">
      <alignment horizontal="right"/>
      <protection/>
    </xf>
    <xf numFmtId="3" fontId="1" fillId="36" borderId="25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0" fillId="0" borderId="12" xfId="0" applyNumberFormat="1" applyFont="1" applyBorder="1" applyAlignment="1" applyProtection="1">
      <alignment/>
      <protection/>
    </xf>
    <xf numFmtId="3" fontId="0" fillId="33" borderId="26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/>
    </xf>
    <xf numFmtId="3" fontId="0" fillId="0" borderId="27" xfId="0" applyNumberFormat="1" applyBorder="1" applyAlignment="1" applyProtection="1">
      <alignment horizontal="center"/>
      <protection/>
    </xf>
    <xf numFmtId="3" fontId="0" fillId="0" borderId="28" xfId="0" applyNumberForma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165" fontId="0" fillId="0" borderId="15" xfId="0" applyNumberFormat="1" applyBorder="1" applyAlignment="1" applyProtection="1">
      <alignment horizontal="right"/>
      <protection/>
    </xf>
    <xf numFmtId="165" fontId="0" fillId="0" borderId="16" xfId="0" applyNumberFormat="1" applyBorder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 patternType="solid"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 patternType="solid"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4:B29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2" max="2" width="40.7109375" style="0" customWidth="1"/>
  </cols>
  <sheetData>
    <row r="24" ht="25.5">
      <c r="B24" s="13" t="s">
        <v>63</v>
      </c>
    </row>
    <row r="26" ht="25.5">
      <c r="B26" s="13" t="s">
        <v>64</v>
      </c>
    </row>
    <row r="28" ht="58.5" customHeight="1">
      <c r="B28" s="29" t="s">
        <v>41</v>
      </c>
    </row>
    <row r="29" ht="15">
      <c r="B29" s="15" t="s">
        <v>42</v>
      </c>
    </row>
  </sheetData>
  <sheetProtection password="C44C" sheet="1" objects="1" scenarios="1" selectLockedCells="1" selectUnlockedCells="1"/>
  <printOptions/>
  <pageMargins left="0.75" right="0.75" top="1" bottom="1" header="0" footer="0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L25"/>
  <sheetViews>
    <sheetView zoomScale="140" zoomScaleNormal="140" zoomScalePageLayoutView="0" workbookViewId="0" topLeftCell="A1">
      <selection activeCell="B1" sqref="B1"/>
    </sheetView>
  </sheetViews>
  <sheetFormatPr defaultColWidth="11.421875" defaultRowHeight="12.75"/>
  <cols>
    <col min="1" max="1" width="38.00390625" style="6" customWidth="1"/>
    <col min="2" max="2" width="13.421875" style="6" customWidth="1"/>
    <col min="3" max="3" width="7.57421875" style="6" customWidth="1"/>
    <col min="4" max="4" width="13.00390625" style="6" hidden="1" customWidth="1"/>
    <col min="5" max="5" width="7.00390625" style="6" hidden="1" customWidth="1"/>
    <col min="6" max="6" width="10.421875" style="6" hidden="1" customWidth="1"/>
    <col min="7" max="7" width="2.7109375" style="6" hidden="1" customWidth="1"/>
    <col min="8" max="8" width="7.421875" style="6" hidden="1" customWidth="1"/>
    <col min="9" max="9" width="8.140625" style="6" hidden="1" customWidth="1"/>
    <col min="10" max="10" width="6.00390625" style="32" hidden="1" customWidth="1"/>
    <col min="11" max="11" width="8.57421875" style="6" hidden="1" customWidth="1"/>
    <col min="12" max="12" width="7.57421875" style="6" hidden="1" customWidth="1"/>
    <col min="13" max="16384" width="11.421875" style="6" customWidth="1"/>
  </cols>
  <sheetData>
    <row r="1" spans="1:12" ht="12.75">
      <c r="A1" s="4" t="s">
        <v>17</v>
      </c>
      <c r="B1" s="56"/>
      <c r="C1" s="5"/>
      <c r="D1" s="6" t="s">
        <v>0</v>
      </c>
      <c r="E1" s="6">
        <v>0</v>
      </c>
      <c r="F1" s="6">
        <v>220</v>
      </c>
      <c r="I1" s="35" t="s">
        <v>0</v>
      </c>
      <c r="J1" s="36">
        <v>2.2</v>
      </c>
      <c r="K1" s="35" t="s">
        <v>0</v>
      </c>
      <c r="L1" s="43">
        <v>2.2</v>
      </c>
    </row>
    <row r="2" spans="1:12" ht="12.75">
      <c r="A2" s="7" t="s">
        <v>18</v>
      </c>
      <c r="B2" s="1"/>
      <c r="C2" s="5"/>
      <c r="D2" s="5" t="s">
        <v>65</v>
      </c>
      <c r="E2" s="5">
        <v>221</v>
      </c>
      <c r="F2" s="5">
        <v>620</v>
      </c>
      <c r="I2" s="37" t="s">
        <v>65</v>
      </c>
      <c r="J2" s="38">
        <v>2.6</v>
      </c>
      <c r="K2" s="37" t="s">
        <v>65</v>
      </c>
      <c r="L2" s="44">
        <v>2.6</v>
      </c>
    </row>
    <row r="3" spans="1:12" ht="12.75">
      <c r="A3" s="55" t="s">
        <v>83</v>
      </c>
      <c r="B3" s="1"/>
      <c r="C3" s="5"/>
      <c r="D3" s="5" t="s">
        <v>66</v>
      </c>
      <c r="E3" s="5">
        <v>621</v>
      </c>
      <c r="F3" s="5">
        <v>1150</v>
      </c>
      <c r="I3" s="37" t="s">
        <v>66</v>
      </c>
      <c r="J3" s="38">
        <v>2.6</v>
      </c>
      <c r="K3" s="37" t="s">
        <v>66</v>
      </c>
      <c r="L3" s="44">
        <v>2.6</v>
      </c>
    </row>
    <row r="4" spans="1:12" ht="12.75">
      <c r="A4" s="8" t="s">
        <v>19</v>
      </c>
      <c r="B4" s="1"/>
      <c r="C4" s="5"/>
      <c r="D4" s="5" t="s">
        <v>67</v>
      </c>
      <c r="E4" s="5">
        <v>1151</v>
      </c>
      <c r="F4" s="5">
        <v>2150</v>
      </c>
      <c r="I4" s="39" t="s">
        <v>73</v>
      </c>
      <c r="J4" s="40">
        <v>2</v>
      </c>
      <c r="K4" s="39" t="s">
        <v>73</v>
      </c>
      <c r="L4" s="45">
        <v>8.1</v>
      </c>
    </row>
    <row r="5" spans="1:12" ht="12.75">
      <c r="A5" s="54" t="s">
        <v>84</v>
      </c>
      <c r="B5" s="11"/>
      <c r="C5" s="5"/>
      <c r="D5" s="5" t="s">
        <v>68</v>
      </c>
      <c r="E5" s="5">
        <v>2151</v>
      </c>
      <c r="F5" s="5">
        <v>4130</v>
      </c>
      <c r="I5" s="39" t="s">
        <v>74</v>
      </c>
      <c r="J5" s="40">
        <v>2</v>
      </c>
      <c r="K5" s="39" t="s">
        <v>74</v>
      </c>
      <c r="L5" s="45">
        <v>8.1</v>
      </c>
    </row>
    <row r="6" spans="1:12" ht="14.25">
      <c r="A6" s="8" t="s">
        <v>15</v>
      </c>
      <c r="B6" s="9">
        <f>ROUNDUP(B2*B3*B4/7+B5*35,0)</f>
        <v>0</v>
      </c>
      <c r="C6" s="5"/>
      <c r="D6" s="5" t="s">
        <v>45</v>
      </c>
      <c r="E6" s="5">
        <v>4131</v>
      </c>
      <c r="F6" s="5">
        <v>7430</v>
      </c>
      <c r="I6" s="39" t="s">
        <v>67</v>
      </c>
      <c r="J6" s="40">
        <v>2.2</v>
      </c>
      <c r="K6" s="39" t="s">
        <v>67</v>
      </c>
      <c r="L6" s="45">
        <v>13.2</v>
      </c>
    </row>
    <row r="7" spans="1:12" ht="13.5" thickBot="1">
      <c r="A7" s="12" t="s">
        <v>62</v>
      </c>
      <c r="B7" s="49" t="str">
        <f>IF(B1="S",H7,H12)</f>
        <v>X22307</v>
      </c>
      <c r="D7" s="5" t="s">
        <v>80</v>
      </c>
      <c r="E7" s="5">
        <v>7431</v>
      </c>
      <c r="F7" s="5">
        <v>1000000</v>
      </c>
      <c r="H7" s="34" t="str">
        <f>LOOKUP(B6,E1:F7,D1:D7)</f>
        <v>W00307</v>
      </c>
      <c r="I7" s="39" t="s">
        <v>68</v>
      </c>
      <c r="J7" s="40">
        <v>2.8</v>
      </c>
      <c r="K7" s="39" t="s">
        <v>68</v>
      </c>
      <c r="L7" s="45">
        <v>16.5</v>
      </c>
    </row>
    <row r="8" spans="1:12" ht="12.75">
      <c r="A8" s="30" t="s">
        <v>52</v>
      </c>
      <c r="B8" s="33">
        <f>B6/VLOOKUP(B7,I1:J11,2,FALSE)</f>
        <v>0</v>
      </c>
      <c r="I8" s="39" t="s">
        <v>45</v>
      </c>
      <c r="J8" s="40">
        <v>2.6</v>
      </c>
      <c r="K8" s="39" t="s">
        <v>45</v>
      </c>
      <c r="L8" s="45">
        <v>70.5</v>
      </c>
    </row>
    <row r="9" spans="1:12" ht="13.5" thickBot="1">
      <c r="A9" s="31" t="s">
        <v>51</v>
      </c>
      <c r="B9" s="33">
        <f>B6/VLOOKUP(B7,K1:L11,2,FALSE)</f>
        <v>0</v>
      </c>
      <c r="D9" s="5" t="s">
        <v>69</v>
      </c>
      <c r="E9" s="5">
        <v>0</v>
      </c>
      <c r="F9" s="5">
        <v>2130</v>
      </c>
      <c r="I9" s="37" t="s">
        <v>69</v>
      </c>
      <c r="J9" s="40">
        <v>2.2</v>
      </c>
      <c r="K9" s="37" t="s">
        <v>69</v>
      </c>
      <c r="L9" s="45">
        <v>13.2</v>
      </c>
    </row>
    <row r="10" spans="1:12" ht="45">
      <c r="A10" s="14" t="s">
        <v>41</v>
      </c>
      <c r="C10" s="53" t="s">
        <v>81</v>
      </c>
      <c r="D10" s="5" t="s">
        <v>70</v>
      </c>
      <c r="E10" s="5">
        <v>2131</v>
      </c>
      <c r="F10" s="5">
        <v>4130</v>
      </c>
      <c r="I10" s="37" t="s">
        <v>70</v>
      </c>
      <c r="J10" s="40">
        <v>2.8</v>
      </c>
      <c r="K10" s="37" t="s">
        <v>70</v>
      </c>
      <c r="L10" s="45">
        <v>16.5</v>
      </c>
    </row>
    <row r="11" spans="1:12" ht="15">
      <c r="A11" s="15" t="s">
        <v>42</v>
      </c>
      <c r="D11" s="5" t="s">
        <v>44</v>
      </c>
      <c r="E11" s="5">
        <v>4131</v>
      </c>
      <c r="F11" s="5">
        <v>7430</v>
      </c>
      <c r="I11" s="37" t="s">
        <v>44</v>
      </c>
      <c r="J11" s="40">
        <v>2.6</v>
      </c>
      <c r="K11" s="37" t="s">
        <v>44</v>
      </c>
      <c r="L11" s="45">
        <v>70.5</v>
      </c>
    </row>
    <row r="12" spans="4:12" ht="13.5" thickBot="1">
      <c r="D12" s="5" t="s">
        <v>80</v>
      </c>
      <c r="E12" s="5">
        <v>7431</v>
      </c>
      <c r="F12" s="5">
        <v>1000000</v>
      </c>
      <c r="H12" s="34" t="str">
        <f>LOOKUP(B6,E9:F12,D9:D12)</f>
        <v>X22307</v>
      </c>
      <c r="I12" s="37"/>
      <c r="J12" s="38"/>
      <c r="K12" s="37"/>
      <c r="L12" s="44"/>
    </row>
    <row r="13" spans="1:12" ht="13.5" thickBot="1">
      <c r="A13" s="47" t="s">
        <v>85</v>
      </c>
      <c r="B13" s="48" t="str">
        <f>IF(B1="S",H15,H21)</f>
        <v>Z22107</v>
      </c>
      <c r="I13" s="41" t="s">
        <v>54</v>
      </c>
      <c r="J13" s="42"/>
      <c r="K13" s="41" t="s">
        <v>53</v>
      </c>
      <c r="L13" s="46"/>
    </row>
    <row r="14" spans="4:6" ht="12.75">
      <c r="D14" s="20" t="s">
        <v>57</v>
      </c>
      <c r="E14" s="20">
        <v>0</v>
      </c>
      <c r="F14" s="20">
        <v>2050</v>
      </c>
    </row>
    <row r="15" spans="4:8" ht="12.75">
      <c r="D15" s="20" t="s">
        <v>60</v>
      </c>
      <c r="E15" s="20">
        <v>2051</v>
      </c>
      <c r="F15" s="20">
        <v>4000</v>
      </c>
      <c r="H15" s="34" t="str">
        <f>LOOKUP(B6,E14:F19,D14:D19)</f>
        <v>Z12107</v>
      </c>
    </row>
    <row r="16" spans="4:6" ht="12.75">
      <c r="D16" s="20" t="s">
        <v>71</v>
      </c>
      <c r="E16" s="20">
        <v>4001</v>
      </c>
      <c r="F16" s="20">
        <v>7000</v>
      </c>
    </row>
    <row r="17" spans="4:6" ht="12.75">
      <c r="D17" s="20" t="s">
        <v>75</v>
      </c>
      <c r="E17" s="20">
        <v>7001</v>
      </c>
      <c r="F17" s="20">
        <v>10000</v>
      </c>
    </row>
    <row r="18" spans="4:6" ht="12.75">
      <c r="D18" s="20" t="s">
        <v>76</v>
      </c>
      <c r="E18" s="20">
        <v>10001</v>
      </c>
      <c r="F18" s="20">
        <v>20000</v>
      </c>
    </row>
    <row r="19" spans="4:6" ht="12.75">
      <c r="D19" s="57" t="s">
        <v>102</v>
      </c>
      <c r="E19" s="20">
        <v>20001</v>
      </c>
      <c r="F19" s="20">
        <v>1000000</v>
      </c>
    </row>
    <row r="20" spans="4:6" ht="12.75">
      <c r="D20" s="20" t="s">
        <v>59</v>
      </c>
      <c r="E20" s="20">
        <v>0</v>
      </c>
      <c r="F20" s="20">
        <v>2050</v>
      </c>
    </row>
    <row r="21" spans="4:8" ht="12.75">
      <c r="D21" s="20" t="s">
        <v>58</v>
      </c>
      <c r="E21" s="20">
        <v>2051</v>
      </c>
      <c r="F21" s="20">
        <v>4000</v>
      </c>
      <c r="H21" s="34" t="str">
        <f>LOOKUP(B6,E20:F25,D20:D25)</f>
        <v>Z22107</v>
      </c>
    </row>
    <row r="22" spans="4:6" ht="12.75">
      <c r="D22" s="20" t="s">
        <v>72</v>
      </c>
      <c r="E22" s="20">
        <v>4001</v>
      </c>
      <c r="F22" s="20">
        <v>7000</v>
      </c>
    </row>
    <row r="23" spans="4:6" ht="12.75">
      <c r="D23" s="20" t="s">
        <v>77</v>
      </c>
      <c r="E23" s="20">
        <v>7001</v>
      </c>
      <c r="F23" s="20">
        <v>10000</v>
      </c>
    </row>
    <row r="24" spans="4:6" ht="12.75">
      <c r="D24" s="20" t="s">
        <v>78</v>
      </c>
      <c r="E24" s="20">
        <v>10001</v>
      </c>
      <c r="F24" s="20">
        <v>20000</v>
      </c>
    </row>
    <row r="25" spans="4:6" ht="12.75">
      <c r="D25" s="57" t="s">
        <v>102</v>
      </c>
      <c r="E25" s="20">
        <v>20001</v>
      </c>
      <c r="F25" s="20">
        <v>1000000</v>
      </c>
    </row>
  </sheetData>
  <sheetProtection password="C44C" sheet="1" objects="1" scenarios="1" selectLockedCells="1"/>
  <conditionalFormatting sqref="B7 B13">
    <cfRule type="expression" priority="1" dxfId="2" stopIfTrue="1">
      <formula>$B$4&lt;=0</formula>
    </cfRule>
    <cfRule type="expression" priority="2" dxfId="0" stopIfTrue="1">
      <formula>$B$2&lt;=0</formula>
    </cfRule>
    <cfRule type="expression" priority="3" dxfId="0" stopIfTrue="1">
      <formula>$B$3&lt;=0</formula>
    </cfRule>
  </conditionalFormatting>
  <dataValidations count="3">
    <dataValidation type="list" allowBlank="1" showInputMessage="1" showErrorMessage="1" sqref="B1">
      <formula1>"S,D"</formula1>
    </dataValidation>
    <dataValidation type="whole" allowBlank="1" showInputMessage="1" showErrorMessage="1" sqref="B2">
      <formula1>1</formula1>
      <formula2>20</formula2>
    </dataValidation>
    <dataValidation type="decimal" allowBlank="1" showInputMessage="1" showErrorMessage="1" sqref="B3:B5">
      <formula1>0</formula1>
      <formula2>500</formula2>
    </dataValidation>
  </dataValidations>
  <printOptions/>
  <pageMargins left="0.75" right="0.75" top="1" bottom="1" header="0" footer="0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M25"/>
  <sheetViews>
    <sheetView zoomScale="140" zoomScaleNormal="140" zoomScalePageLayoutView="0" workbookViewId="0" topLeftCell="A1">
      <selection activeCell="B1" sqref="B1"/>
    </sheetView>
  </sheetViews>
  <sheetFormatPr defaultColWidth="11.421875" defaultRowHeight="12.75"/>
  <cols>
    <col min="1" max="1" width="38.00390625" style="6" customWidth="1"/>
    <col min="2" max="2" width="13.421875" style="6" customWidth="1"/>
    <col min="3" max="3" width="7.57421875" style="6" customWidth="1"/>
    <col min="4" max="4" width="13.00390625" style="6" hidden="1" customWidth="1"/>
    <col min="5" max="5" width="7.00390625" style="6" hidden="1" customWidth="1"/>
    <col min="6" max="6" width="10.421875" style="6" hidden="1" customWidth="1"/>
    <col min="7" max="7" width="2.7109375" style="6" hidden="1" customWidth="1"/>
    <col min="8" max="8" width="7.421875" style="6" hidden="1" customWidth="1"/>
    <col min="9" max="9" width="8.140625" style="6" hidden="1" customWidth="1"/>
    <col min="10" max="10" width="6.00390625" style="32" hidden="1" customWidth="1"/>
    <col min="11" max="11" width="8.57421875" style="6" hidden="1" customWidth="1"/>
    <col min="12" max="12" width="7.57421875" style="6" hidden="1" customWidth="1"/>
    <col min="13" max="16384" width="11.421875" style="6" customWidth="1"/>
  </cols>
  <sheetData>
    <row r="1" spans="1:12" ht="12.75">
      <c r="A1" s="4" t="s">
        <v>4</v>
      </c>
      <c r="B1" s="56"/>
      <c r="C1" s="5"/>
      <c r="D1" s="6" t="s">
        <v>0</v>
      </c>
      <c r="E1" s="6">
        <v>0</v>
      </c>
      <c r="F1" s="6">
        <v>220</v>
      </c>
      <c r="I1" s="35" t="s">
        <v>0</v>
      </c>
      <c r="J1" s="36">
        <v>2.2</v>
      </c>
      <c r="K1" s="35" t="s">
        <v>0</v>
      </c>
      <c r="L1" s="43">
        <v>2.2</v>
      </c>
    </row>
    <row r="2" spans="1:12" ht="12.75">
      <c r="A2" s="7" t="s">
        <v>6</v>
      </c>
      <c r="B2" s="1"/>
      <c r="C2" s="5"/>
      <c r="D2" s="5" t="s">
        <v>65</v>
      </c>
      <c r="E2" s="5">
        <v>221</v>
      </c>
      <c r="F2" s="5">
        <v>620</v>
      </c>
      <c r="I2" s="37" t="s">
        <v>65</v>
      </c>
      <c r="J2" s="38">
        <v>2.6</v>
      </c>
      <c r="K2" s="37" t="s">
        <v>65</v>
      </c>
      <c r="L2" s="44">
        <v>2.6</v>
      </c>
    </row>
    <row r="3" spans="1:12" ht="12.75">
      <c r="A3" s="55" t="s">
        <v>86</v>
      </c>
      <c r="B3" s="1"/>
      <c r="C3" s="5"/>
      <c r="D3" s="5" t="s">
        <v>66</v>
      </c>
      <c r="E3" s="5">
        <v>621</v>
      </c>
      <c r="F3" s="5">
        <v>1150</v>
      </c>
      <c r="I3" s="37" t="s">
        <v>66</v>
      </c>
      <c r="J3" s="38">
        <v>2.6</v>
      </c>
      <c r="K3" s="37" t="s">
        <v>66</v>
      </c>
      <c r="L3" s="44">
        <v>2.6</v>
      </c>
    </row>
    <row r="4" spans="1:12" ht="12.75">
      <c r="A4" s="8" t="s">
        <v>8</v>
      </c>
      <c r="B4" s="1"/>
      <c r="C4" s="5"/>
      <c r="D4" s="5" t="s">
        <v>67</v>
      </c>
      <c r="E4" s="5">
        <v>1151</v>
      </c>
      <c r="F4" s="5">
        <v>2150</v>
      </c>
      <c r="I4" s="39" t="s">
        <v>73</v>
      </c>
      <c r="J4" s="40">
        <v>2</v>
      </c>
      <c r="K4" s="39" t="s">
        <v>73</v>
      </c>
      <c r="L4" s="45">
        <v>8.1</v>
      </c>
    </row>
    <row r="5" spans="1:12" ht="12.75">
      <c r="A5" s="54" t="s">
        <v>87</v>
      </c>
      <c r="B5" s="11"/>
      <c r="C5" s="5"/>
      <c r="D5" s="5" t="s">
        <v>68</v>
      </c>
      <c r="E5" s="5">
        <v>2151</v>
      </c>
      <c r="F5" s="5">
        <v>4130</v>
      </c>
      <c r="I5" s="39" t="s">
        <v>74</v>
      </c>
      <c r="J5" s="40">
        <v>2</v>
      </c>
      <c r="K5" s="39" t="s">
        <v>74</v>
      </c>
      <c r="L5" s="45">
        <v>8.1</v>
      </c>
    </row>
    <row r="6" spans="1:12" ht="14.25">
      <c r="A6" s="8" t="s">
        <v>15</v>
      </c>
      <c r="B6" s="9">
        <f>ROUNDUP(B2*B3*B4/7+B5*35,0)</f>
        <v>0</v>
      </c>
      <c r="C6" s="5"/>
      <c r="D6" s="5" t="s">
        <v>45</v>
      </c>
      <c r="E6" s="5">
        <v>4131</v>
      </c>
      <c r="F6" s="5">
        <v>7430</v>
      </c>
      <c r="I6" s="39" t="s">
        <v>67</v>
      </c>
      <c r="J6" s="40">
        <v>2.2</v>
      </c>
      <c r="K6" s="39" t="s">
        <v>67</v>
      </c>
      <c r="L6" s="45">
        <v>13.2</v>
      </c>
    </row>
    <row r="7" spans="1:12" ht="13.5" thickBot="1">
      <c r="A7" s="12" t="s">
        <v>61</v>
      </c>
      <c r="B7" s="49" t="str">
        <f>IF(B1="S",H7,H12)</f>
        <v>X22307</v>
      </c>
      <c r="D7" s="5" t="s">
        <v>79</v>
      </c>
      <c r="E7" s="5">
        <v>7431</v>
      </c>
      <c r="F7" s="5">
        <v>1000000</v>
      </c>
      <c r="H7" s="34" t="str">
        <f>LOOKUP(B6,E1:F7,D1:D7)</f>
        <v>W00307</v>
      </c>
      <c r="I7" s="39" t="s">
        <v>68</v>
      </c>
      <c r="J7" s="40">
        <v>2.8</v>
      </c>
      <c r="K7" s="39" t="s">
        <v>68</v>
      </c>
      <c r="L7" s="45">
        <v>16.5</v>
      </c>
    </row>
    <row r="8" spans="1:12" ht="12.75">
      <c r="A8" s="30" t="s">
        <v>55</v>
      </c>
      <c r="B8" s="33">
        <f>B6/VLOOKUP(B7,I1:J11,2,FALSE)</f>
        <v>0</v>
      </c>
      <c r="I8" s="39" t="s">
        <v>45</v>
      </c>
      <c r="J8" s="40">
        <v>2.6</v>
      </c>
      <c r="K8" s="39" t="s">
        <v>45</v>
      </c>
      <c r="L8" s="45">
        <v>70.5</v>
      </c>
    </row>
    <row r="9" spans="1:12" ht="13.5" thickBot="1">
      <c r="A9" s="31" t="s">
        <v>56</v>
      </c>
      <c r="B9" s="33">
        <f>B6/VLOOKUP(B7,K1:L11,2,FALSE)</f>
        <v>0</v>
      </c>
      <c r="D9" s="60" t="s">
        <v>69</v>
      </c>
      <c r="E9" s="5">
        <v>0</v>
      </c>
      <c r="F9" s="5">
        <v>2130</v>
      </c>
      <c r="I9" s="37" t="s">
        <v>69</v>
      </c>
      <c r="J9" s="40">
        <v>2.2</v>
      </c>
      <c r="K9" s="37" t="s">
        <v>69</v>
      </c>
      <c r="L9" s="45">
        <v>13.2</v>
      </c>
    </row>
    <row r="10" spans="1:13" ht="45">
      <c r="A10" s="14" t="s">
        <v>41</v>
      </c>
      <c r="D10" s="60" t="s">
        <v>70</v>
      </c>
      <c r="E10" s="5">
        <v>2131</v>
      </c>
      <c r="F10" s="5">
        <v>4130</v>
      </c>
      <c r="I10" s="37" t="s">
        <v>70</v>
      </c>
      <c r="J10" s="40">
        <v>2.8</v>
      </c>
      <c r="K10" s="37" t="s">
        <v>70</v>
      </c>
      <c r="L10" s="45">
        <v>16.5</v>
      </c>
      <c r="M10" s="52" t="s">
        <v>82</v>
      </c>
    </row>
    <row r="11" spans="1:12" ht="15">
      <c r="A11" s="15" t="s">
        <v>42</v>
      </c>
      <c r="D11" s="5" t="s">
        <v>44</v>
      </c>
      <c r="E11" s="5">
        <v>4131</v>
      </c>
      <c r="F11" s="5">
        <v>7430</v>
      </c>
      <c r="I11" s="37" t="s">
        <v>44</v>
      </c>
      <c r="J11" s="40">
        <v>2.6</v>
      </c>
      <c r="K11" s="37" t="s">
        <v>44</v>
      </c>
      <c r="L11" s="45">
        <v>70.5</v>
      </c>
    </row>
    <row r="12" spans="4:12" ht="13.5" thickBot="1">
      <c r="D12" s="5" t="s">
        <v>79</v>
      </c>
      <c r="E12" s="5">
        <v>7431</v>
      </c>
      <c r="F12" s="5">
        <v>1000000</v>
      </c>
      <c r="H12" s="34" t="str">
        <f>LOOKUP(B6,E9:F12,D9:D12)</f>
        <v>X22307</v>
      </c>
      <c r="I12" s="37"/>
      <c r="J12" s="38"/>
      <c r="K12" s="37"/>
      <c r="L12" s="44"/>
    </row>
    <row r="13" spans="1:12" ht="13.5" thickBot="1">
      <c r="A13" s="47" t="s">
        <v>103</v>
      </c>
      <c r="B13" s="48" t="str">
        <f>IF(B1="S",H15,H21)</f>
        <v>Z22107</v>
      </c>
      <c r="I13" s="41" t="s">
        <v>54</v>
      </c>
      <c r="J13" s="42"/>
      <c r="K13" s="41" t="s">
        <v>53</v>
      </c>
      <c r="L13" s="46"/>
    </row>
    <row r="14" spans="4:6" ht="12.75">
      <c r="D14" s="6" t="s">
        <v>57</v>
      </c>
      <c r="E14" s="6">
        <v>0</v>
      </c>
      <c r="F14" s="6">
        <v>2050</v>
      </c>
    </row>
    <row r="15" spans="4:8" ht="12.75">
      <c r="D15" s="6" t="s">
        <v>60</v>
      </c>
      <c r="E15" s="6">
        <v>2051</v>
      </c>
      <c r="F15" s="6">
        <v>4000</v>
      </c>
      <c r="H15" s="50" t="str">
        <f>LOOKUP(B6,E14:F19,D14:D19)</f>
        <v>Z12107</v>
      </c>
    </row>
    <row r="16" spans="4:8" ht="12.75">
      <c r="D16" s="20" t="s">
        <v>71</v>
      </c>
      <c r="E16" s="20">
        <v>4001</v>
      </c>
      <c r="F16" s="20">
        <v>7000</v>
      </c>
      <c r="H16" s="51"/>
    </row>
    <row r="17" spans="4:8" ht="12.75">
      <c r="D17" s="20" t="s">
        <v>75</v>
      </c>
      <c r="E17" s="20">
        <v>7001</v>
      </c>
      <c r="F17" s="20">
        <v>10000</v>
      </c>
      <c r="H17" s="51"/>
    </row>
    <row r="18" spans="4:8" ht="12.75">
      <c r="D18" s="20" t="s">
        <v>76</v>
      </c>
      <c r="E18" s="20">
        <v>10001</v>
      </c>
      <c r="F18" s="20">
        <v>20000</v>
      </c>
      <c r="H18" s="51"/>
    </row>
    <row r="19" spans="4:8" ht="12.75">
      <c r="D19" s="60" t="s">
        <v>101</v>
      </c>
      <c r="E19" s="20">
        <v>20001</v>
      </c>
      <c r="F19" s="20">
        <v>1000000</v>
      </c>
      <c r="H19" s="51"/>
    </row>
    <row r="20" spans="4:8" ht="12.75">
      <c r="D20" s="6" t="s">
        <v>59</v>
      </c>
      <c r="E20" s="6">
        <v>0</v>
      </c>
      <c r="F20" s="6">
        <v>2050</v>
      </c>
      <c r="H20" s="51"/>
    </row>
    <row r="21" spans="4:8" ht="12.75">
      <c r="D21" s="6" t="s">
        <v>58</v>
      </c>
      <c r="E21" s="6">
        <v>2051</v>
      </c>
      <c r="F21" s="6">
        <v>4000</v>
      </c>
      <c r="H21" s="50" t="str">
        <f>LOOKUP(B6,E20:F25,D20:D25)</f>
        <v>Z22107</v>
      </c>
    </row>
    <row r="22" spans="4:6" ht="12.75">
      <c r="D22" s="20" t="s">
        <v>72</v>
      </c>
      <c r="E22" s="20">
        <v>4001</v>
      </c>
      <c r="F22" s="20">
        <v>7000</v>
      </c>
    </row>
    <row r="23" spans="4:6" ht="12.75">
      <c r="D23" s="20" t="s">
        <v>77</v>
      </c>
      <c r="E23" s="20">
        <v>7001</v>
      </c>
      <c r="F23" s="20">
        <v>10000</v>
      </c>
    </row>
    <row r="24" spans="4:6" ht="12.75">
      <c r="D24" s="20" t="s">
        <v>78</v>
      </c>
      <c r="E24" s="20">
        <v>10001</v>
      </c>
      <c r="F24" s="20">
        <v>20000</v>
      </c>
    </row>
    <row r="25" spans="4:6" ht="12.75">
      <c r="D25" s="60" t="s">
        <v>101</v>
      </c>
      <c r="E25" s="20">
        <v>20001</v>
      </c>
      <c r="F25" s="20">
        <v>1000000</v>
      </c>
    </row>
  </sheetData>
  <sheetProtection password="C44C" sheet="1" objects="1" scenarios="1" selectLockedCells="1"/>
  <conditionalFormatting sqref="B7 B13">
    <cfRule type="expression" priority="1" dxfId="2" stopIfTrue="1">
      <formula>$B$4&lt;=0</formula>
    </cfRule>
    <cfRule type="expression" priority="2" dxfId="0" stopIfTrue="1">
      <formula>$B$2&lt;=0</formula>
    </cfRule>
    <cfRule type="expression" priority="3" dxfId="0" stopIfTrue="1">
      <formula>$B$3&lt;=0</formula>
    </cfRule>
  </conditionalFormatting>
  <dataValidations count="3">
    <dataValidation type="list" allowBlank="1" showInputMessage="1" showErrorMessage="1" sqref="B1">
      <formula1>"S,D"</formula1>
    </dataValidation>
    <dataValidation type="whole" allowBlank="1" showInputMessage="1" showErrorMessage="1" sqref="B2">
      <formula1>1</formula1>
      <formula2>20</formula2>
    </dataValidation>
    <dataValidation type="decimal" allowBlank="1" showInputMessage="1" showErrorMessage="1" sqref="B3:B5">
      <formula1>0</formula1>
      <formula2>500</formula2>
    </dataValidation>
  </dataValidations>
  <printOptions/>
  <pageMargins left="0.75" right="0.75" top="1" bottom="1" header="0" footer="0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T30"/>
  <sheetViews>
    <sheetView showZeros="0" zoomScale="140" zoomScaleNormal="140" zoomScalePageLayoutView="0" workbookViewId="0" topLeftCell="A1">
      <selection activeCell="B1" sqref="B1"/>
    </sheetView>
  </sheetViews>
  <sheetFormatPr defaultColWidth="11.421875" defaultRowHeight="12.75"/>
  <cols>
    <col min="1" max="1" width="30.57421875" style="16" customWidth="1"/>
    <col min="2" max="2" width="7.7109375" style="16" customWidth="1"/>
    <col min="3" max="3" width="2.00390625" style="16" customWidth="1"/>
    <col min="4" max="4" width="3.140625" style="16" customWidth="1"/>
    <col min="5" max="5" width="2.00390625" style="16" customWidth="1"/>
    <col min="6" max="7" width="1.8515625" style="16" customWidth="1"/>
    <col min="8" max="8" width="1.57421875" style="16" customWidth="1"/>
    <col min="9" max="12" width="1.8515625" style="16" customWidth="1"/>
    <col min="13" max="13" width="2.28125" style="16" customWidth="1"/>
    <col min="14" max="14" width="4.7109375" style="16" customWidth="1"/>
    <col min="15" max="15" width="6.00390625" style="16" hidden="1" customWidth="1"/>
    <col min="16" max="16" width="6.57421875" style="16" hidden="1" customWidth="1"/>
    <col min="17" max="17" width="7.00390625" style="16" hidden="1" customWidth="1"/>
    <col min="18" max="18" width="5.8515625" style="16" hidden="1" customWidth="1"/>
    <col min="19" max="19" width="5.421875" style="16" hidden="1" customWidth="1"/>
    <col min="20" max="16384" width="11.421875" style="16" customWidth="1"/>
  </cols>
  <sheetData>
    <row r="1" spans="1:2" ht="12.75">
      <c r="A1" s="6" t="s">
        <v>49</v>
      </c>
      <c r="B1" s="64"/>
    </row>
    <row r="2" spans="1:20" ht="12.75">
      <c r="A2" s="17" t="s">
        <v>17</v>
      </c>
      <c r="B2" s="65"/>
      <c r="T2" s="59"/>
    </row>
    <row r="3" spans="1:14" ht="12.75">
      <c r="A3" s="17" t="s">
        <v>20</v>
      </c>
      <c r="B3" s="65"/>
      <c r="C3" s="5"/>
      <c r="N3" s="18"/>
    </row>
    <row r="4" spans="1:15" ht="12.75">
      <c r="A4" s="17" t="s">
        <v>18</v>
      </c>
      <c r="B4" s="3"/>
      <c r="C4" s="5"/>
      <c r="F4" s="19"/>
      <c r="G4" s="19"/>
      <c r="H4" s="19"/>
      <c r="I4" s="19"/>
      <c r="J4" s="19"/>
      <c r="K4" s="19"/>
      <c r="L4" s="19"/>
      <c r="M4" s="6"/>
      <c r="N4" s="18"/>
      <c r="O4" s="6"/>
    </row>
    <row r="5" spans="1:20" ht="12.75">
      <c r="A5" s="57" t="s">
        <v>83</v>
      </c>
      <c r="B5" s="3"/>
      <c r="C5" s="5"/>
      <c r="F5" s="5"/>
      <c r="G5" s="5"/>
      <c r="H5" s="5"/>
      <c r="I5" s="5"/>
      <c r="J5" s="5"/>
      <c r="K5" s="5"/>
      <c r="L5" s="5"/>
      <c r="M5" s="5"/>
      <c r="N5" s="18"/>
      <c r="O5" s="6"/>
      <c r="T5" s="59"/>
    </row>
    <row r="6" spans="1:15" ht="12.75">
      <c r="A6" s="20" t="s">
        <v>19</v>
      </c>
      <c r="B6" s="3"/>
      <c r="C6" s="5"/>
      <c r="F6" s="5"/>
      <c r="G6" s="5"/>
      <c r="H6" s="5"/>
      <c r="I6" s="5"/>
      <c r="J6" s="5"/>
      <c r="K6" s="5"/>
      <c r="L6" s="5"/>
      <c r="M6" s="5"/>
      <c r="N6" s="18"/>
      <c r="O6" s="17"/>
    </row>
    <row r="7" spans="1:15" ht="12.75">
      <c r="A7" s="58" t="s">
        <v>84</v>
      </c>
      <c r="B7" s="10"/>
      <c r="C7" s="5"/>
      <c r="F7" s="5"/>
      <c r="G7" s="5"/>
      <c r="H7" s="5"/>
      <c r="I7" s="5"/>
      <c r="J7" s="5"/>
      <c r="K7" s="5"/>
      <c r="L7" s="5"/>
      <c r="M7" s="5"/>
      <c r="N7" s="18"/>
      <c r="O7" s="17"/>
    </row>
    <row r="8" spans="1:15" ht="12.75">
      <c r="A8" s="17" t="s">
        <v>21</v>
      </c>
      <c r="B8" s="2"/>
      <c r="C8" s="5"/>
      <c r="D8" s="5"/>
      <c r="F8" s="5"/>
      <c r="G8" s="5"/>
      <c r="H8" s="5"/>
      <c r="I8" s="5"/>
      <c r="J8" s="5"/>
      <c r="K8" s="5"/>
      <c r="L8" s="5"/>
      <c r="M8" s="5"/>
      <c r="N8" s="18"/>
      <c r="O8" s="17"/>
    </row>
    <row r="9" spans="1:14" ht="12.75">
      <c r="A9" s="17" t="s">
        <v>22</v>
      </c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6"/>
    </row>
    <row r="10" spans="1:14" ht="12.75">
      <c r="A10" s="17" t="s">
        <v>23</v>
      </c>
      <c r="B10" s="3"/>
      <c r="C10" s="5"/>
      <c r="D10" s="61" t="s">
        <v>95</v>
      </c>
      <c r="E10" s="5"/>
      <c r="G10" s="5"/>
      <c r="H10" s="5"/>
      <c r="I10" s="5"/>
      <c r="J10" s="5"/>
      <c r="K10" s="5"/>
      <c r="L10" s="5"/>
      <c r="M10" s="6"/>
      <c r="N10" s="6"/>
    </row>
    <row r="11" spans="1:14" ht="12.75">
      <c r="A11" s="17" t="s">
        <v>48</v>
      </c>
      <c r="B11" s="6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6"/>
    </row>
    <row r="12" spans="1:14" ht="12.75">
      <c r="A12" s="17" t="s">
        <v>24</v>
      </c>
      <c r="B12" s="64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6"/>
    </row>
    <row r="13" spans="1:14" ht="12.75">
      <c r="A13" s="17" t="s">
        <v>25</v>
      </c>
      <c r="B13" s="64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6"/>
    </row>
    <row r="14" spans="1:14" ht="12.75">
      <c r="A14" s="17" t="s">
        <v>26</v>
      </c>
      <c r="B14" s="64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6"/>
    </row>
    <row r="15" spans="1:19" ht="14.25" customHeight="1">
      <c r="A15" s="20" t="s">
        <v>15</v>
      </c>
      <c r="B15" s="24">
        <f>ROUNDUP(B4*B5*B6/7+35*B7,0)</f>
        <v>0</v>
      </c>
      <c r="C15" s="5"/>
      <c r="D15" s="5"/>
      <c r="E15" s="5"/>
      <c r="M15" s="6"/>
      <c r="N15" s="5"/>
      <c r="O15" s="16" t="s">
        <v>30</v>
      </c>
      <c r="P15" s="16" t="s">
        <v>31</v>
      </c>
      <c r="Q15" s="16" t="s">
        <v>32</v>
      </c>
      <c r="R15" s="16" t="s">
        <v>33</v>
      </c>
      <c r="S15" s="16" t="s">
        <v>34</v>
      </c>
    </row>
    <row r="16" spans="1:19" ht="14.25" customHeight="1">
      <c r="A16" s="20" t="s">
        <v>35</v>
      </c>
      <c r="B16" s="20">
        <f>60*(B15/1000)/LOOKUP(D18,O16:O30,R16:R30)</f>
        <v>0</v>
      </c>
      <c r="C16" s="5"/>
      <c r="D16" s="72">
        <f>B16/60</f>
        <v>0</v>
      </c>
      <c r="E16" s="72"/>
      <c r="F16" s="73"/>
      <c r="G16" s="66" t="s">
        <v>37</v>
      </c>
      <c r="H16" s="67"/>
      <c r="I16" s="67"/>
      <c r="J16" s="67"/>
      <c r="K16" s="68"/>
      <c r="M16" s="6"/>
      <c r="O16" s="16" t="s">
        <v>1</v>
      </c>
      <c r="P16" s="16">
        <v>0</v>
      </c>
      <c r="Q16" s="16">
        <v>1000</v>
      </c>
      <c r="R16" s="16">
        <v>0.36</v>
      </c>
      <c r="S16" s="16">
        <v>0.36</v>
      </c>
    </row>
    <row r="17" spans="1:19" ht="12" customHeight="1">
      <c r="A17" s="17" t="s">
        <v>36</v>
      </c>
      <c r="B17" s="20">
        <f>60*(B15/1000)/LOOKUP(D18,O16:O30,S16:S30)</f>
        <v>0</v>
      </c>
      <c r="C17" s="6"/>
      <c r="D17" s="72">
        <f>B17/60</f>
        <v>0</v>
      </c>
      <c r="E17" s="72"/>
      <c r="F17" s="72"/>
      <c r="G17" s="69" t="s">
        <v>37</v>
      </c>
      <c r="H17" s="70"/>
      <c r="I17" s="70"/>
      <c r="J17" s="70"/>
      <c r="K17" s="71"/>
      <c r="M17" s="6"/>
      <c r="N17" s="59"/>
      <c r="O17" s="59" t="s">
        <v>89</v>
      </c>
      <c r="P17" s="16">
        <v>1001</v>
      </c>
      <c r="Q17" s="16">
        <v>2000</v>
      </c>
      <c r="R17" s="16">
        <v>0.51</v>
      </c>
      <c r="S17" s="16">
        <v>0.51</v>
      </c>
    </row>
    <row r="18" spans="1:19" ht="12.75">
      <c r="A18" s="21" t="s">
        <v>27</v>
      </c>
      <c r="B18" s="22" t="s">
        <v>88</v>
      </c>
      <c r="C18" s="23">
        <f>B1</f>
        <v>0</v>
      </c>
      <c r="D18" s="24" t="str">
        <f>LOOKUP(B15,P16:Q30,O16:O30)</f>
        <v>1 1</v>
      </c>
      <c r="E18" s="25">
        <f>IF(B2="D",4,IF(B3="S",2,1))</f>
        <v>1</v>
      </c>
      <c r="F18" s="25">
        <f>IF(B8=3,IF(B9=230,2,IF(B9=400,4,ERR)),IF(AND(B9=230,B10=50),1,IF(AND(B9=230,B10=60),3,IF(B10=50,5,6))))</f>
        <v>6</v>
      </c>
      <c r="G18" s="25">
        <f>IF(B11="S","B","")</f>
      </c>
      <c r="H18" s="25">
        <f>IF(B12="S","C","")</f>
      </c>
      <c r="I18" s="25">
        <f>IF(B13="S","R","")</f>
      </c>
      <c r="J18" s="25">
        <f>IF(B14="S","H","")</f>
      </c>
      <c r="M18" s="6"/>
      <c r="N18" s="59"/>
      <c r="O18" s="59" t="s">
        <v>91</v>
      </c>
      <c r="P18" s="16">
        <v>2001</v>
      </c>
      <c r="Q18" s="16">
        <v>4000</v>
      </c>
      <c r="R18" s="16">
        <v>0.51</v>
      </c>
      <c r="S18" s="16">
        <v>0.51</v>
      </c>
    </row>
    <row r="19" spans="1:19" ht="12.75">
      <c r="A19" s="17"/>
      <c r="B19" s="17"/>
      <c r="C19" s="6"/>
      <c r="D19" s="5"/>
      <c r="E19" s="5"/>
      <c r="M19" s="6"/>
      <c r="O19" s="16" t="s">
        <v>2</v>
      </c>
      <c r="P19" s="16">
        <v>4001</v>
      </c>
      <c r="Q19" s="16">
        <v>5000</v>
      </c>
      <c r="R19" s="16">
        <v>0.7</v>
      </c>
      <c r="S19" s="16">
        <v>0.7</v>
      </c>
    </row>
    <row r="20" spans="3:19" ht="12.75">
      <c r="C20" s="6"/>
      <c r="D20" s="5"/>
      <c r="E20" s="5"/>
      <c r="M20" s="6"/>
      <c r="O20" s="62" t="s">
        <v>92</v>
      </c>
      <c r="P20" s="16">
        <v>5000.1</v>
      </c>
      <c r="Q20" s="16">
        <v>5000.99</v>
      </c>
      <c r="R20" s="16">
        <v>1.17</v>
      </c>
      <c r="S20" s="16">
        <v>1.17</v>
      </c>
    </row>
    <row r="21" spans="1:19" ht="12.75">
      <c r="A21" s="20" t="s">
        <v>35</v>
      </c>
      <c r="B21" s="20">
        <f>60*(B15/1000)/LOOKUP(D23,O16:O30,R16:R30)</f>
        <v>0</v>
      </c>
      <c r="C21" s="5"/>
      <c r="D21" s="72">
        <f>B21/60</f>
        <v>0</v>
      </c>
      <c r="E21" s="72"/>
      <c r="F21" s="72"/>
      <c r="G21" s="66" t="s">
        <v>37</v>
      </c>
      <c r="H21" s="67"/>
      <c r="I21" s="67"/>
      <c r="J21" s="67"/>
      <c r="K21" s="68"/>
      <c r="M21" s="6"/>
      <c r="O21" s="62" t="s">
        <v>97</v>
      </c>
      <c r="P21" s="16">
        <v>9001</v>
      </c>
      <c r="Q21" s="16">
        <v>14000</v>
      </c>
      <c r="R21" s="16">
        <v>1.17</v>
      </c>
      <c r="S21" s="16">
        <v>1.17</v>
      </c>
    </row>
    <row r="22" spans="1:19" ht="12.75">
      <c r="A22" s="17" t="s">
        <v>36</v>
      </c>
      <c r="B22" s="20">
        <f>60*(B15/1000)/LOOKUP(D23,O16:O30,S16:S30)</f>
        <v>0</v>
      </c>
      <c r="C22" s="6"/>
      <c r="D22" s="72">
        <f>B22/60</f>
        <v>0</v>
      </c>
      <c r="E22" s="72"/>
      <c r="F22" s="72"/>
      <c r="G22" s="69" t="s">
        <v>37</v>
      </c>
      <c r="H22" s="70"/>
      <c r="I22" s="70"/>
      <c r="J22" s="70"/>
      <c r="K22" s="71"/>
      <c r="N22" s="59"/>
      <c r="O22" s="62" t="s">
        <v>3</v>
      </c>
      <c r="P22" s="16">
        <v>14001</v>
      </c>
      <c r="Q22" s="16">
        <v>24000</v>
      </c>
      <c r="R22" s="16">
        <v>2.2</v>
      </c>
      <c r="S22" s="16">
        <v>2.2</v>
      </c>
    </row>
    <row r="23" spans="1:19" ht="12.75">
      <c r="A23" s="27" t="s">
        <v>96</v>
      </c>
      <c r="B23" s="26" t="s">
        <v>88</v>
      </c>
      <c r="C23" s="25">
        <f>C18</f>
        <v>0</v>
      </c>
      <c r="D23" s="28" t="s">
        <v>46</v>
      </c>
      <c r="E23" s="25">
        <f aca="true" t="shared" si="0" ref="E23:J23">E18</f>
        <v>1</v>
      </c>
      <c r="F23" s="25">
        <f t="shared" si="0"/>
        <v>6</v>
      </c>
      <c r="G23" s="25">
        <f t="shared" si="0"/>
      </c>
      <c r="H23" s="25">
        <f t="shared" si="0"/>
      </c>
      <c r="I23" s="25">
        <f t="shared" si="0"/>
      </c>
      <c r="J23" s="25">
        <f t="shared" si="0"/>
      </c>
      <c r="O23" s="62" t="s">
        <v>98</v>
      </c>
      <c r="P23" s="16">
        <v>4000.1</v>
      </c>
      <c r="Q23" s="16">
        <v>4000.99</v>
      </c>
      <c r="R23" s="16">
        <v>0.36</v>
      </c>
      <c r="S23" s="16">
        <v>4</v>
      </c>
    </row>
    <row r="24" spans="1:19" ht="12.75">
      <c r="A24" s="27" t="s">
        <v>105</v>
      </c>
      <c r="O24" s="59" t="s">
        <v>90</v>
      </c>
      <c r="P24" s="16">
        <v>5001</v>
      </c>
      <c r="Q24" s="16">
        <v>9000</v>
      </c>
      <c r="R24" s="16">
        <v>0.36</v>
      </c>
      <c r="S24" s="16">
        <v>4</v>
      </c>
    </row>
    <row r="25" spans="15:19" ht="12.75">
      <c r="O25" s="59" t="s">
        <v>99</v>
      </c>
      <c r="P25" s="16">
        <v>14000.1</v>
      </c>
      <c r="Q25" s="16">
        <v>14000.99</v>
      </c>
      <c r="R25" s="16">
        <v>0.36</v>
      </c>
      <c r="S25" s="16">
        <v>4</v>
      </c>
    </row>
    <row r="26" spans="1:19" ht="45">
      <c r="A26" s="14" t="s">
        <v>41</v>
      </c>
      <c r="N26" s="59"/>
      <c r="O26" s="59" t="s">
        <v>100</v>
      </c>
      <c r="P26" s="16">
        <v>24000.1</v>
      </c>
      <c r="Q26" s="16">
        <v>24000.99</v>
      </c>
      <c r="R26" s="16">
        <v>2.2</v>
      </c>
      <c r="S26" s="16">
        <v>11</v>
      </c>
    </row>
    <row r="27" spans="1:19" ht="15">
      <c r="A27" s="15" t="s">
        <v>42</v>
      </c>
      <c r="O27" s="16" t="s">
        <v>28</v>
      </c>
      <c r="P27" s="16">
        <v>24001</v>
      </c>
      <c r="Q27" s="16">
        <v>34000</v>
      </c>
      <c r="R27" s="16">
        <v>2.2</v>
      </c>
      <c r="S27" s="16">
        <v>11</v>
      </c>
    </row>
    <row r="28" spans="15:19" ht="12.75">
      <c r="O28" s="59" t="s">
        <v>93</v>
      </c>
      <c r="P28" s="16">
        <v>34001</v>
      </c>
      <c r="Q28" s="16">
        <v>45000</v>
      </c>
      <c r="R28" s="16">
        <v>4</v>
      </c>
      <c r="S28" s="16">
        <v>25</v>
      </c>
    </row>
    <row r="29" spans="15:19" ht="12.75">
      <c r="O29" s="16" t="s">
        <v>46</v>
      </c>
      <c r="P29" s="16">
        <v>45001</v>
      </c>
      <c r="Q29" s="16">
        <v>99000</v>
      </c>
      <c r="R29" s="16">
        <v>4</v>
      </c>
      <c r="S29" s="16">
        <v>25</v>
      </c>
    </row>
    <row r="30" spans="15:19" ht="12.75">
      <c r="O30" s="16" t="s">
        <v>29</v>
      </c>
      <c r="P30" s="16">
        <v>99001</v>
      </c>
      <c r="Q30" s="16">
        <v>1000000</v>
      </c>
      <c r="R30" s="16" t="s">
        <v>29</v>
      </c>
      <c r="S30" s="16" t="s">
        <v>29</v>
      </c>
    </row>
  </sheetData>
  <sheetProtection password="C44C" sheet="1" selectLockedCells="1"/>
  <mergeCells count="8">
    <mergeCell ref="G16:K16"/>
    <mergeCell ref="G21:K21"/>
    <mergeCell ref="G17:K17"/>
    <mergeCell ref="G22:K22"/>
    <mergeCell ref="D16:F16"/>
    <mergeCell ref="D17:F17"/>
    <mergeCell ref="D21:F21"/>
    <mergeCell ref="D22:F22"/>
  </mergeCells>
  <dataValidations count="11">
    <dataValidation type="list" allowBlank="1" showInputMessage="1" showErrorMessage="1" sqref="B2">
      <formula1>"S,D"</formula1>
    </dataValidation>
    <dataValidation type="list" allowBlank="1" showInputMessage="1" showErrorMessage="1" sqref="B3 B11:B14">
      <formula1>"S,N"</formula1>
    </dataValidation>
    <dataValidation type="whole" allowBlank="1" showInputMessage="1" showErrorMessage="1" sqref="B4">
      <formula1>1</formula1>
      <formula2>30</formula2>
    </dataValidation>
    <dataValidation type="whole" allowBlank="1" showInputMessage="1" showErrorMessage="1" sqref="B5">
      <formula1>1</formula1>
      <formula2>11000</formula2>
    </dataValidation>
    <dataValidation type="whole" allowBlank="1" showInputMessage="1" showErrorMessage="1" sqref="B6">
      <formula1>1</formula1>
      <formula2>6000</formula2>
    </dataValidation>
    <dataValidation type="decimal" allowBlank="1" showInputMessage="1" showErrorMessage="1" sqref="B7">
      <formula1>0.8</formula1>
      <formula2>2000</formula2>
    </dataValidation>
    <dataValidation type="list" allowBlank="1" showInputMessage="1" showErrorMessage="1" sqref="B8">
      <formula1>"1,3"</formula1>
    </dataValidation>
    <dataValidation type="list" allowBlank="1" showInputMessage="1" showErrorMessage="1" sqref="B9">
      <formula1>"115,230,400"</formula1>
    </dataValidation>
    <dataValidation type="list" allowBlank="1" showInputMessage="1" showErrorMessage="1" sqref="B1">
      <formula1>"M,E"</formula1>
    </dataValidation>
    <dataValidation type="list" allowBlank="1" showInputMessage="1" showErrorMessage="1" sqref="B10">
      <formula1>"50,60"</formula1>
    </dataValidation>
    <dataValidation type="list" allowBlank="1" showInputMessage="1" showErrorMessage="1" sqref="D23">
      <formula1>$O$16:$O$29</formula1>
    </dataValidation>
  </dataValidations>
  <printOptions/>
  <pageMargins left="0.75" right="0.75" top="1" bottom="1" header="0" footer="0"/>
  <pageSetup horizontalDpi="1200" verticalDpi="12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T30"/>
  <sheetViews>
    <sheetView showZeros="0" zoomScale="140" zoomScaleNormal="140" zoomScalePageLayoutView="0" workbookViewId="0" topLeftCell="A1">
      <selection activeCell="B2" sqref="B2"/>
    </sheetView>
  </sheetViews>
  <sheetFormatPr defaultColWidth="11.421875" defaultRowHeight="12.75"/>
  <cols>
    <col min="1" max="1" width="30.421875" style="16" customWidth="1"/>
    <col min="2" max="2" width="7.7109375" style="16" customWidth="1"/>
    <col min="3" max="3" width="2.00390625" style="16" customWidth="1"/>
    <col min="4" max="4" width="3.140625" style="16" customWidth="1"/>
    <col min="5" max="5" width="2.00390625" style="16" customWidth="1"/>
    <col min="6" max="7" width="1.8515625" style="16" customWidth="1"/>
    <col min="8" max="8" width="1.57421875" style="16" customWidth="1"/>
    <col min="9" max="12" width="1.8515625" style="16" customWidth="1"/>
    <col min="13" max="13" width="2.28125" style="16" customWidth="1"/>
    <col min="14" max="14" width="4.421875" style="16" customWidth="1"/>
    <col min="15" max="15" width="6.00390625" style="16" hidden="1" customWidth="1"/>
    <col min="16" max="16" width="6.57421875" style="16" hidden="1" customWidth="1"/>
    <col min="17" max="17" width="7.00390625" style="16" hidden="1" customWidth="1"/>
    <col min="18" max="18" width="5.8515625" style="16" hidden="1" customWidth="1"/>
    <col min="19" max="19" width="5.421875" style="16" hidden="1" customWidth="1"/>
    <col min="20" max="16384" width="11.421875" style="16" customWidth="1"/>
  </cols>
  <sheetData>
    <row r="1" spans="1:2" ht="12.75">
      <c r="A1" s="6" t="s">
        <v>50</v>
      </c>
      <c r="B1" s="64"/>
    </row>
    <row r="2" spans="1:20" ht="12.75">
      <c r="A2" s="17" t="s">
        <v>4</v>
      </c>
      <c r="B2" s="65"/>
      <c r="T2" s="59"/>
    </row>
    <row r="3" spans="1:20" ht="12.75">
      <c r="A3" s="17" t="s">
        <v>5</v>
      </c>
      <c r="B3" s="65"/>
      <c r="C3" s="5"/>
      <c r="N3" s="18"/>
      <c r="T3" s="59"/>
    </row>
    <row r="4" spans="1:15" ht="12.75">
      <c r="A4" s="17" t="s">
        <v>6</v>
      </c>
      <c r="B4" s="3"/>
      <c r="C4" s="5"/>
      <c r="F4" s="19"/>
      <c r="G4" s="19"/>
      <c r="H4" s="19"/>
      <c r="I4" s="19"/>
      <c r="J4" s="19"/>
      <c r="K4" s="19"/>
      <c r="L4" s="19"/>
      <c r="M4" s="6"/>
      <c r="N4" s="18"/>
      <c r="O4" s="6"/>
    </row>
    <row r="5" spans="1:15" ht="12.75">
      <c r="A5" s="20" t="s">
        <v>7</v>
      </c>
      <c r="B5" s="3"/>
      <c r="C5" s="5"/>
      <c r="F5" s="5"/>
      <c r="G5" s="5"/>
      <c r="H5" s="5"/>
      <c r="I5" s="5"/>
      <c r="J5" s="5"/>
      <c r="K5" s="5"/>
      <c r="L5" s="5"/>
      <c r="M5" s="5"/>
      <c r="N5" s="18"/>
      <c r="O5" s="6"/>
    </row>
    <row r="6" spans="1:15" ht="12.75">
      <c r="A6" s="20" t="s">
        <v>8</v>
      </c>
      <c r="B6" s="3"/>
      <c r="C6" s="5"/>
      <c r="F6" s="5"/>
      <c r="G6" s="5"/>
      <c r="H6" s="5"/>
      <c r="I6" s="5"/>
      <c r="J6" s="5"/>
      <c r="K6" s="5"/>
      <c r="L6" s="5"/>
      <c r="M6" s="5"/>
      <c r="N6" s="18"/>
      <c r="O6" s="17"/>
    </row>
    <row r="7" spans="1:15" ht="12.75">
      <c r="A7" s="58" t="s">
        <v>87</v>
      </c>
      <c r="B7" s="10"/>
      <c r="C7" s="5"/>
      <c r="F7" s="5"/>
      <c r="G7" s="5"/>
      <c r="H7" s="5"/>
      <c r="I7" s="5"/>
      <c r="J7" s="5"/>
      <c r="K7" s="5"/>
      <c r="L7" s="5"/>
      <c r="M7" s="5"/>
      <c r="N7" s="18"/>
      <c r="O7" s="17"/>
    </row>
    <row r="8" spans="1:15" ht="12.75">
      <c r="A8" s="17" t="s">
        <v>9</v>
      </c>
      <c r="B8" s="2"/>
      <c r="C8" s="5"/>
      <c r="D8" s="5"/>
      <c r="F8" s="5"/>
      <c r="G8" s="5"/>
      <c r="H8" s="5"/>
      <c r="I8" s="5"/>
      <c r="J8" s="5"/>
      <c r="K8" s="5"/>
      <c r="L8" s="5"/>
      <c r="M8" s="5"/>
      <c r="N8" s="18"/>
      <c r="O8" s="17"/>
    </row>
    <row r="9" spans="1:14" ht="12.75">
      <c r="A9" s="17" t="s">
        <v>10</v>
      </c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6"/>
    </row>
    <row r="10" spans="1:14" ht="12.75">
      <c r="A10" s="17" t="s">
        <v>11</v>
      </c>
      <c r="B10" s="3"/>
      <c r="C10" s="5"/>
      <c r="D10" s="5"/>
      <c r="E10" s="61" t="s">
        <v>82</v>
      </c>
      <c r="F10" s="5"/>
      <c r="G10" s="5"/>
      <c r="H10" s="5"/>
      <c r="I10" s="5"/>
      <c r="J10" s="5"/>
      <c r="K10" s="5"/>
      <c r="L10" s="5"/>
      <c r="M10" s="6"/>
      <c r="N10" s="6"/>
    </row>
    <row r="11" spans="1:14" ht="12.75">
      <c r="A11" s="17" t="s">
        <v>47</v>
      </c>
      <c r="B11" s="6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6"/>
    </row>
    <row r="12" spans="1:14" ht="12.75">
      <c r="A12" s="17" t="s">
        <v>14</v>
      </c>
      <c r="B12" s="64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6"/>
    </row>
    <row r="13" spans="1:14" ht="12.75">
      <c r="A13" s="17" t="s">
        <v>13</v>
      </c>
      <c r="B13" s="64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6"/>
    </row>
    <row r="14" spans="1:14" ht="12.75">
      <c r="A14" s="17" t="s">
        <v>12</v>
      </c>
      <c r="B14" s="64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6"/>
    </row>
    <row r="15" spans="1:19" ht="14.25" customHeight="1">
      <c r="A15" s="20" t="s">
        <v>15</v>
      </c>
      <c r="B15" s="20">
        <f>ROUNDUP(B4*B5*B6/7+35*B7,0)</f>
        <v>0</v>
      </c>
      <c r="C15" s="5"/>
      <c r="D15" s="5"/>
      <c r="E15" s="5"/>
      <c r="M15" s="6"/>
      <c r="N15" s="5"/>
      <c r="O15" s="16" t="s">
        <v>30</v>
      </c>
      <c r="P15" s="16" t="s">
        <v>31</v>
      </c>
      <c r="Q15" s="16" t="s">
        <v>32</v>
      </c>
      <c r="R15" s="16" t="s">
        <v>33</v>
      </c>
      <c r="S15" s="16" t="s">
        <v>34</v>
      </c>
    </row>
    <row r="16" spans="1:19" ht="14.25" customHeight="1">
      <c r="A16" s="20" t="s">
        <v>38</v>
      </c>
      <c r="B16" s="20">
        <f>60*(B15/1000)/LOOKUP(D18,O16:O26,R16:R26)</f>
        <v>0</v>
      </c>
      <c r="C16" s="5"/>
      <c r="D16" s="72">
        <f>B16/60</f>
        <v>0</v>
      </c>
      <c r="E16" s="72"/>
      <c r="F16" s="72"/>
      <c r="G16" s="66" t="s">
        <v>40</v>
      </c>
      <c r="H16" s="67"/>
      <c r="I16" s="67"/>
      <c r="J16" s="67"/>
      <c r="K16" s="68"/>
      <c r="M16" s="6"/>
      <c r="N16" s="5"/>
      <c r="O16" s="16" t="s">
        <v>1</v>
      </c>
      <c r="P16" s="16">
        <v>0</v>
      </c>
      <c r="Q16" s="16">
        <v>1000</v>
      </c>
      <c r="R16" s="16">
        <v>0.36</v>
      </c>
      <c r="S16" s="16">
        <v>0.36</v>
      </c>
    </row>
    <row r="17" spans="1:19" ht="12" customHeight="1">
      <c r="A17" s="17" t="s">
        <v>39</v>
      </c>
      <c r="B17" s="20">
        <f>60*(B15/1000)/LOOKUP(D18,O16:O26,S16:S26)</f>
        <v>0</v>
      </c>
      <c r="C17" s="6"/>
      <c r="D17" s="72">
        <f>B17/60</f>
        <v>0</v>
      </c>
      <c r="E17" s="72"/>
      <c r="F17" s="72"/>
      <c r="G17" s="69" t="s">
        <v>40</v>
      </c>
      <c r="H17" s="70"/>
      <c r="I17" s="70"/>
      <c r="J17" s="70"/>
      <c r="K17" s="71"/>
      <c r="M17" s="6"/>
      <c r="N17" s="20"/>
      <c r="O17" s="59" t="s">
        <v>89</v>
      </c>
      <c r="P17" s="16">
        <v>1001</v>
      </c>
      <c r="Q17" s="16">
        <v>2000</v>
      </c>
      <c r="R17" s="16">
        <v>0.51</v>
      </c>
      <c r="S17" s="16">
        <v>0.51</v>
      </c>
    </row>
    <row r="18" spans="1:19" ht="12.75">
      <c r="A18" s="21" t="s">
        <v>16</v>
      </c>
      <c r="B18" s="63" t="s">
        <v>88</v>
      </c>
      <c r="C18" s="23">
        <f>B1</f>
        <v>0</v>
      </c>
      <c r="D18" s="24" t="str">
        <f>LOOKUP(B15,P16:Q30,O16:O30)</f>
        <v>1 1</v>
      </c>
      <c r="E18" s="25">
        <f>IF(B2="D",4,IF(B3="Y",2,1))</f>
        <v>1</v>
      </c>
      <c r="F18" s="25">
        <f>IF(B8=3,IF(B9=230,2,IF(B9=400,4,ERR)),IF(AND(B9=230,B10=50),1,IF(AND(B9=230,B10=60),3,IF(B10=50,5,6))))</f>
        <v>6</v>
      </c>
      <c r="G18" s="25">
        <f>IF(B11="Y","B","")</f>
      </c>
      <c r="H18" s="25">
        <f>IF(B12="Y","C","")</f>
      </c>
      <c r="I18" s="25">
        <f>IF(B13="Y","R","")</f>
      </c>
      <c r="J18" s="25">
        <f>IF(B14="Y","H","")</f>
      </c>
      <c r="M18" s="6"/>
      <c r="N18" s="5"/>
      <c r="O18" s="59" t="s">
        <v>91</v>
      </c>
      <c r="P18" s="16">
        <v>2001</v>
      </c>
      <c r="Q18" s="16">
        <v>4000</v>
      </c>
      <c r="R18" s="16">
        <v>0.51</v>
      </c>
      <c r="S18" s="16">
        <v>0.51</v>
      </c>
    </row>
    <row r="19" spans="1:19" ht="12.75">
      <c r="A19" s="17"/>
      <c r="B19" s="17"/>
      <c r="C19" s="6"/>
      <c r="D19" s="5"/>
      <c r="E19" s="5"/>
      <c r="M19" s="6"/>
      <c r="N19" s="5"/>
      <c r="O19" s="16" t="s">
        <v>2</v>
      </c>
      <c r="P19" s="16">
        <v>4001</v>
      </c>
      <c r="Q19" s="16">
        <v>5000</v>
      </c>
      <c r="R19" s="16">
        <v>0.7</v>
      </c>
      <c r="S19" s="16">
        <v>0.7</v>
      </c>
    </row>
    <row r="20" spans="1:19" ht="12.75">
      <c r="A20" s="59" t="s">
        <v>94</v>
      </c>
      <c r="C20" s="6"/>
      <c r="D20" s="5"/>
      <c r="E20" s="5"/>
      <c r="M20" s="6"/>
      <c r="N20" s="5"/>
      <c r="O20" s="62" t="s">
        <v>92</v>
      </c>
      <c r="P20" s="16">
        <v>5000.1</v>
      </c>
      <c r="Q20" s="16">
        <v>5000.99</v>
      </c>
      <c r="R20" s="16">
        <v>1.17</v>
      </c>
      <c r="S20" s="16">
        <v>1.17</v>
      </c>
    </row>
    <row r="21" spans="1:19" ht="12.75">
      <c r="A21" s="20" t="s">
        <v>38</v>
      </c>
      <c r="B21" s="20">
        <f>60*(B15/1000)/LOOKUP(D23,O16:O26,R16:R26)</f>
        <v>0</v>
      </c>
      <c r="C21" s="5"/>
      <c r="D21" s="72">
        <f>B21/60</f>
        <v>0</v>
      </c>
      <c r="E21" s="72"/>
      <c r="F21" s="72"/>
      <c r="G21" s="66" t="s">
        <v>40</v>
      </c>
      <c r="H21" s="67"/>
      <c r="I21" s="67"/>
      <c r="J21" s="67"/>
      <c r="K21" s="68"/>
      <c r="M21" s="6"/>
      <c r="N21" s="5"/>
      <c r="O21" s="62" t="s">
        <v>97</v>
      </c>
      <c r="P21" s="16">
        <v>9001</v>
      </c>
      <c r="Q21" s="16">
        <v>14000</v>
      </c>
      <c r="R21" s="16">
        <v>1.17</v>
      </c>
      <c r="S21" s="16">
        <v>1.17</v>
      </c>
    </row>
    <row r="22" spans="1:19" ht="12.75">
      <c r="A22" s="17" t="s">
        <v>39</v>
      </c>
      <c r="B22" s="20">
        <f>60*(B15/1000)/LOOKUP(D23,O16:O26,S16:S26)</f>
        <v>0</v>
      </c>
      <c r="C22" s="6"/>
      <c r="D22" s="72">
        <f>B22/60</f>
        <v>0</v>
      </c>
      <c r="E22" s="72"/>
      <c r="F22" s="72"/>
      <c r="G22" s="69" t="s">
        <v>40</v>
      </c>
      <c r="H22" s="70"/>
      <c r="I22" s="70"/>
      <c r="J22" s="70"/>
      <c r="K22" s="71"/>
      <c r="O22" s="62" t="s">
        <v>3</v>
      </c>
      <c r="P22" s="16">
        <v>14001</v>
      </c>
      <c r="Q22" s="16">
        <v>24000</v>
      </c>
      <c r="R22" s="16">
        <v>2.2</v>
      </c>
      <c r="S22" s="16">
        <v>2.2</v>
      </c>
    </row>
    <row r="23" spans="1:19" ht="12.75">
      <c r="A23" s="27" t="s">
        <v>43</v>
      </c>
      <c r="B23" s="26" t="str">
        <f>B18</f>
        <v>HA</v>
      </c>
      <c r="C23" s="25">
        <f>C18</f>
        <v>0</v>
      </c>
      <c r="D23" s="28" t="s">
        <v>46</v>
      </c>
      <c r="E23" s="25">
        <f aca="true" t="shared" si="0" ref="E23:J23">E18</f>
        <v>1</v>
      </c>
      <c r="F23" s="25">
        <f t="shared" si="0"/>
        <v>6</v>
      </c>
      <c r="G23" s="25">
        <f t="shared" si="0"/>
      </c>
      <c r="H23" s="25">
        <f t="shared" si="0"/>
      </c>
      <c r="I23" s="25">
        <f t="shared" si="0"/>
      </c>
      <c r="J23" s="25">
        <f t="shared" si="0"/>
      </c>
      <c r="O23" s="62" t="s">
        <v>98</v>
      </c>
      <c r="P23" s="16">
        <v>4000.1</v>
      </c>
      <c r="Q23" s="16">
        <v>4000.99</v>
      </c>
      <c r="R23" s="16">
        <v>0.36</v>
      </c>
      <c r="S23" s="16">
        <v>4</v>
      </c>
    </row>
    <row r="24" spans="1:19" ht="12.75">
      <c r="A24" s="27" t="s">
        <v>104</v>
      </c>
      <c r="O24" s="59" t="s">
        <v>90</v>
      </c>
      <c r="P24" s="16">
        <v>5001</v>
      </c>
      <c r="Q24" s="16">
        <v>9000</v>
      </c>
      <c r="R24" s="16">
        <v>0.36</v>
      </c>
      <c r="S24" s="16">
        <v>4</v>
      </c>
    </row>
    <row r="25" spans="15:19" ht="12.75">
      <c r="O25" s="59" t="s">
        <v>99</v>
      </c>
      <c r="P25" s="16">
        <v>14000.1</v>
      </c>
      <c r="Q25" s="16">
        <v>14000.99</v>
      </c>
      <c r="R25" s="16">
        <v>0.36</v>
      </c>
      <c r="S25" s="16">
        <v>4</v>
      </c>
    </row>
    <row r="26" spans="1:19" ht="45">
      <c r="A26" s="14" t="s">
        <v>41</v>
      </c>
      <c r="O26" s="59" t="s">
        <v>100</v>
      </c>
      <c r="P26" s="16">
        <v>24000.1</v>
      </c>
      <c r="Q26" s="16">
        <v>24000.99</v>
      </c>
      <c r="R26" s="16">
        <v>2.2</v>
      </c>
      <c r="S26" s="16">
        <v>11</v>
      </c>
    </row>
    <row r="27" spans="1:19" ht="15">
      <c r="A27" s="15" t="s">
        <v>42</v>
      </c>
      <c r="O27" s="16" t="s">
        <v>28</v>
      </c>
      <c r="P27" s="16">
        <v>24001</v>
      </c>
      <c r="Q27" s="16">
        <v>34000</v>
      </c>
      <c r="R27" s="16">
        <v>2.2</v>
      </c>
      <c r="S27" s="16">
        <v>11</v>
      </c>
    </row>
    <row r="28" spans="15:19" ht="12.75">
      <c r="O28" s="59" t="s">
        <v>93</v>
      </c>
      <c r="P28" s="16">
        <v>34001</v>
      </c>
      <c r="Q28" s="16">
        <v>45000</v>
      </c>
      <c r="R28" s="16">
        <v>4</v>
      </c>
      <c r="S28" s="16">
        <v>25</v>
      </c>
    </row>
    <row r="29" spans="15:19" ht="12.75">
      <c r="O29" s="16" t="s">
        <v>46</v>
      </c>
      <c r="P29" s="16">
        <v>45001</v>
      </c>
      <c r="Q29" s="16">
        <v>99000</v>
      </c>
      <c r="R29" s="16">
        <v>4</v>
      </c>
      <c r="S29" s="16">
        <v>25</v>
      </c>
    </row>
    <row r="30" spans="15:19" ht="12.75">
      <c r="O30" s="16" t="s">
        <v>29</v>
      </c>
      <c r="P30" s="16">
        <v>99001</v>
      </c>
      <c r="Q30" s="16">
        <v>1000000</v>
      </c>
      <c r="R30" s="16" t="s">
        <v>29</v>
      </c>
      <c r="S30" s="16" t="s">
        <v>29</v>
      </c>
    </row>
  </sheetData>
  <sheetProtection password="C44C" sheet="1" selectLockedCells="1"/>
  <mergeCells count="8">
    <mergeCell ref="G16:K16"/>
    <mergeCell ref="G17:K17"/>
    <mergeCell ref="G21:K21"/>
    <mergeCell ref="G22:K22"/>
    <mergeCell ref="D16:F16"/>
    <mergeCell ref="D17:F17"/>
    <mergeCell ref="D21:F21"/>
    <mergeCell ref="D22:F22"/>
  </mergeCells>
  <dataValidations count="11">
    <dataValidation type="list" allowBlank="1" showInputMessage="1" showErrorMessage="1" sqref="B2">
      <formula1>"S,D"</formula1>
    </dataValidation>
    <dataValidation type="whole" allowBlank="1" showInputMessage="1" showErrorMessage="1" sqref="B4">
      <formula1>1</formula1>
      <formula2>3000</formula2>
    </dataValidation>
    <dataValidation type="whole" allowBlank="1" showInputMessage="1" showErrorMessage="1" sqref="B5">
      <formula1>1</formula1>
      <formula2>11000</formula2>
    </dataValidation>
    <dataValidation type="whole" allowBlank="1" showInputMessage="1" showErrorMessage="1" sqref="B6">
      <formula1>1</formula1>
      <formula2>6000</formula2>
    </dataValidation>
    <dataValidation type="decimal" allowBlank="1" showInputMessage="1" showErrorMessage="1" sqref="B7">
      <formula1>0.8</formula1>
      <formula2>2000</formula2>
    </dataValidation>
    <dataValidation type="list" allowBlank="1" showInputMessage="1" showErrorMessage="1" sqref="B8">
      <formula1>"1,3"</formula1>
    </dataValidation>
    <dataValidation type="list" allowBlank="1" showInputMessage="1" showErrorMessage="1" sqref="B9">
      <formula1>"115,230,400"</formula1>
    </dataValidation>
    <dataValidation type="list" allowBlank="1" showInputMessage="1" showErrorMessage="1" sqref="B10">
      <formula1>"50,60"</formula1>
    </dataValidation>
    <dataValidation type="list" allowBlank="1" showInputMessage="1" showErrorMessage="1" sqref="B3 B11:B14">
      <formula1>"Y,N"</formula1>
    </dataValidation>
    <dataValidation type="list" allowBlank="1" showInputMessage="1" showErrorMessage="1" sqref="B1">
      <formula1>"M,E"</formula1>
    </dataValidation>
    <dataValidation type="list" allowBlank="1" showInputMessage="1" showErrorMessage="1" sqref="D23">
      <formula1>$O$16:$O$29</formula1>
    </dataValidation>
  </dataValidations>
  <printOptions/>
  <pageMargins left="0.75" right="0.75" top="1" bottom="1" header="0" footer="0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LARZEP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larzep</dc:creator>
  <cp:keywords/>
  <dc:description/>
  <cp:lastModifiedBy>JALarrea</cp:lastModifiedBy>
  <cp:lastPrinted>2003-06-05T15:40:32Z</cp:lastPrinted>
  <dcterms:created xsi:type="dcterms:W3CDTF">2003-05-27T11:10:46Z</dcterms:created>
  <dcterms:modified xsi:type="dcterms:W3CDTF">2010-04-14T07:11:51Z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